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6204" tabRatio="678" activeTab="6"/>
  </bookViews>
  <sheets>
    <sheet name="план" sheetId="1" r:id="rId1"/>
    <sheet name="вложения" sheetId="2" r:id="rId2"/>
    <sheet name="оборудование" sheetId="3" r:id="rId3"/>
    <sheet name="усл-пост" sheetId="4" r:id="rId4"/>
    <sheet name="налоги" sheetId="5" r:id="rId5"/>
    <sheet name="усл-пер" sheetId="6" r:id="rId6"/>
    <sheet name="выручка" sheetId="7" r:id="rId7"/>
    <sheet name="потоки 3 года" sheetId="8" r:id="rId8"/>
    <sheet name="Лист1" sheetId="9" r:id="rId9"/>
    <sheet name="Лист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<sst xmlns="http://schemas.openxmlformats.org/spreadsheetml/2006/main" count="156" uniqueCount="130">
  <si>
    <t>Инвестиционные расходы</t>
  </si>
  <si>
    <t>ремонт</t>
  </si>
  <si>
    <t>оборудование</t>
  </si>
  <si>
    <t>Текущие расходы</t>
  </si>
  <si>
    <t>условно-постоянные</t>
  </si>
  <si>
    <t>аренда</t>
  </si>
  <si>
    <t>условно-переменные расходы</t>
  </si>
  <si>
    <t>Выручка</t>
  </si>
  <si>
    <t>Резюме проекта</t>
  </si>
  <si>
    <t>инвестиции, руб</t>
  </si>
  <si>
    <t>текущие расходы, руб</t>
  </si>
  <si>
    <t>текущие доходы, руб</t>
  </si>
  <si>
    <t>чистая прибыль, руб</t>
  </si>
  <si>
    <t>рентабельность, %</t>
  </si>
  <si>
    <t>срок окупаемости, месяцы</t>
  </si>
  <si>
    <t xml:space="preserve">Расчет </t>
  </si>
  <si>
    <t>показатель</t>
  </si>
  <si>
    <t>формула</t>
  </si>
  <si>
    <t>площадь, кв.м.</t>
  </si>
  <si>
    <t>цена</t>
  </si>
  <si>
    <t>ИТОГО ВЛОЖЕНИЯ</t>
  </si>
  <si>
    <t>Условно-постоянные расходы</t>
  </si>
  <si>
    <t>ставка, руб. в месяц</t>
  </si>
  <si>
    <t>ИТОГО РАСХОДЫ</t>
  </si>
  <si>
    <t>Условно-переменные расходы</t>
  </si>
  <si>
    <t>средний чек</t>
  </si>
  <si>
    <t>ставка ремонт, руб./кв.м.</t>
  </si>
  <si>
    <t>материалы</t>
  </si>
  <si>
    <t>зарплата</t>
  </si>
  <si>
    <t>ИТОГО ПРОДАЖИ</t>
  </si>
  <si>
    <t>Прогнозные потоки</t>
  </si>
  <si>
    <t>1 год</t>
  </si>
  <si>
    <t>2 год</t>
  </si>
  <si>
    <t>3 год</t>
  </si>
  <si>
    <t>остаток средств на начало</t>
  </si>
  <si>
    <t>остаток средств на конец</t>
  </si>
  <si>
    <t>потоки</t>
  </si>
  <si>
    <t>инвестиции год 0</t>
  </si>
  <si>
    <t>доходы минус расходы 1 год</t>
  </si>
  <si>
    <t>доходы минус расходы 2 год</t>
  </si>
  <si>
    <t>доходы минус расходы 3 год</t>
  </si>
  <si>
    <t>доходность, в % годовых</t>
  </si>
  <si>
    <t>каждый год инвестиции приносят в % годовых</t>
  </si>
  <si>
    <t>чистый доход</t>
  </si>
  <si>
    <t>доходы минус расходы за 3 года</t>
  </si>
  <si>
    <t>заполнению подлежат только ячейки с красным цветом шрифта</t>
  </si>
  <si>
    <t>Прогноз финансовых потоков проекта</t>
  </si>
  <si>
    <t>Доходность и окупаемость проекта</t>
  </si>
  <si>
    <t>Производственный план проекта</t>
  </si>
  <si>
    <t>все данные на этом листе получены после заполнения остальных листов!</t>
  </si>
  <si>
    <t>Расходы, 12 месяцев</t>
  </si>
  <si>
    <t>Выручка, 12 месяцев</t>
  </si>
  <si>
    <t>тип оборудования</t>
  </si>
  <si>
    <t>мебель</t>
  </si>
  <si>
    <t>офисная техника</t>
  </si>
  <si>
    <t>спецоборудование</t>
  </si>
  <si>
    <t>Легенда</t>
  </si>
  <si>
    <t>место установки</t>
  </si>
  <si>
    <t>назначение</t>
  </si>
  <si>
    <t>наименование</t>
  </si>
  <si>
    <t>единиц</t>
  </si>
  <si>
    <t>итого</t>
  </si>
  <si>
    <t>административные</t>
  </si>
  <si>
    <t>будни</t>
  </si>
  <si>
    <t>выходные</t>
  </si>
  <si>
    <t>рабочий день, будни</t>
  </si>
  <si>
    <t>рабочий день часов, будни</t>
  </si>
  <si>
    <t>рабочий день часов, выходные</t>
  </si>
  <si>
    <t>выручка, будни</t>
  </si>
  <si>
    <t>выручка, выходные</t>
  </si>
  <si>
    <t>услуги в день, будни</t>
  </si>
  <si>
    <t>услуги в день, выходные</t>
  </si>
  <si>
    <t>Схема с окладом</t>
  </si>
  <si>
    <t>оклад</t>
  </si>
  <si>
    <t>Расчет зарплаты</t>
  </si>
  <si>
    <t>Расчет себестоимости</t>
  </si>
  <si>
    <t>себестоимость, % от выручки</t>
  </si>
  <si>
    <t>Расчет налогов</t>
  </si>
  <si>
    <t>НП</t>
  </si>
  <si>
    <t>Налог на доходы 6%</t>
  </si>
  <si>
    <t>ставка</t>
  </si>
  <si>
    <t>база</t>
  </si>
  <si>
    <t>сумма</t>
  </si>
  <si>
    <t>НДФЛ 13%</t>
  </si>
  <si>
    <t xml:space="preserve">обычная система </t>
  </si>
  <si>
    <t xml:space="preserve">ЕСН </t>
  </si>
  <si>
    <t>НС и ПЗ</t>
  </si>
  <si>
    <t>упрощенная система</t>
  </si>
  <si>
    <t>налоги, руб.</t>
  </si>
  <si>
    <t>Налоги</t>
  </si>
  <si>
    <t>Оборудование</t>
  </si>
  <si>
    <t>оборудование 1</t>
  </si>
  <si>
    <t>оборудование 2</t>
  </si>
  <si>
    <t>Налоги, 12 месяцев</t>
  </si>
  <si>
    <t>цена ремонт, кв.м.</t>
  </si>
  <si>
    <t>ставка аренды, руб./в год</t>
  </si>
  <si>
    <t>количество работников</t>
  </si>
  <si>
    <t>будние дни</t>
  </si>
  <si>
    <t>выходные дни</t>
  </si>
  <si>
    <t>материалы, % от выручки</t>
  </si>
  <si>
    <t>рабочий день, выходные</t>
  </si>
  <si>
    <t>Схема без оклада</t>
  </si>
  <si>
    <t>процент с выручки</t>
  </si>
  <si>
    <t>общая ставка</t>
  </si>
  <si>
    <t>НДС с выручки</t>
  </si>
  <si>
    <t>НДС к зачету</t>
  </si>
  <si>
    <t>коммерческие, 10%</t>
  </si>
  <si>
    <t>система налогообложения</t>
  </si>
  <si>
    <t>схема зарплаты</t>
  </si>
  <si>
    <t>прочее</t>
  </si>
  <si>
    <t>помещение 1</t>
  </si>
  <si>
    <t>помещение 2</t>
  </si>
  <si>
    <t>помещение 3</t>
  </si>
  <si>
    <t>помещение 4</t>
  </si>
  <si>
    <t>тип 1</t>
  </si>
  <si>
    <t>тип 2</t>
  </si>
  <si>
    <t>тип 3</t>
  </si>
  <si>
    <t>тип 4</t>
  </si>
  <si>
    <t>тип 5</t>
  </si>
  <si>
    <t>тип 6</t>
  </si>
  <si>
    <t>сотрудник</t>
  </si>
  <si>
    <t>Вложения</t>
  </si>
  <si>
    <t>услуг /товаров в час</t>
  </si>
  <si>
    <t>услуг/товаров в час</t>
  </si>
  <si>
    <t>вероятность выручки, будни</t>
  </si>
  <si>
    <t>вероятность выручки, выходные</t>
  </si>
  <si>
    <t>процент от выручки, персонал</t>
  </si>
  <si>
    <t>Список переменных для заполнения</t>
  </si>
  <si>
    <t>Налоги всего</t>
  </si>
  <si>
    <t>Налоги к уплате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</si>
</sst>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8"/>
      <name val="Arial Cyr"/>
      <family val="0"/>
    </font>
    <font>
      <sz val="10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9"/>
      <name val="Arial Cyr"/>
      <family val="0"/>
    </font>
    <font>
      <b/>
      <sz val="10"/>
      <color indexed="10"/>
      <name val="Arial Cyr"/>
      <family val="0"/>
    </font>
    <font>
      <i/>
      <sz val="10"/>
      <color indexed="8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9" fontId="0" fillId="0" borderId="0" xfId="19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0" fillId="0" borderId="0" xfId="19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3" fontId="12" fillId="4" borderId="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left"/>
    </xf>
    <xf numFmtId="3" fontId="12" fillId="5" borderId="0" xfId="0" applyNumberFormat="1" applyFont="1" applyFill="1" applyBorder="1" applyAlignment="1">
      <alignment/>
    </xf>
    <xf numFmtId="0" fontId="13" fillId="6" borderId="4" xfId="0" applyFont="1" applyFill="1" applyBorder="1" applyAlignment="1">
      <alignment horizontal="left"/>
    </xf>
    <xf numFmtId="9" fontId="0" fillId="0" borderId="1" xfId="19" applyFont="1" applyFill="1" applyBorder="1" applyAlignment="1">
      <alignment/>
    </xf>
    <xf numFmtId="0" fontId="14" fillId="6" borderId="4" xfId="0" applyFont="1" applyFill="1" applyBorder="1" applyAlignment="1">
      <alignment horizontal="right"/>
    </xf>
    <xf numFmtId="1" fontId="0" fillId="0" borderId="2" xfId="0" applyNumberFormat="1" applyFill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1" fillId="5" borderId="0" xfId="15" applyFill="1" applyBorder="1" applyAlignment="1">
      <alignment horizontal="left"/>
    </xf>
    <xf numFmtId="0" fontId="1" fillId="0" borderId="0" xfId="15" applyAlignment="1">
      <alignment/>
    </xf>
    <xf numFmtId="0" fontId="1" fillId="2" borderId="0" xfId="15" applyFill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2" borderId="0" xfId="0" applyNumberFormat="1" applyFill="1" applyAlignment="1">
      <alignment horizontal="center"/>
    </xf>
    <xf numFmtId="0" fontId="15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4" borderId="3" xfId="0" applyFont="1" applyFill="1" applyBorder="1" applyAlignment="1">
      <alignment horizontal="left"/>
    </xf>
    <xf numFmtId="3" fontId="16" fillId="4" borderId="3" xfId="0" applyNumberFormat="1" applyFont="1" applyFill="1" applyBorder="1" applyAlignment="1">
      <alignment/>
    </xf>
    <xf numFmtId="171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43"/>
  <sheetViews>
    <sheetView showGridLines="0" zoomScale="85" zoomScaleNormal="85" workbookViewId="0" topLeftCell="A1">
      <selection activeCell="B1" sqref="B1"/>
    </sheetView>
  </sheetViews>
  <sheetFormatPr defaultColWidth="9.00390625" defaultRowHeight="12.75" outlineLevelRow="1"/>
  <cols>
    <col min="1" max="1" width="31.875" style="0" customWidth="1"/>
    <col min="2" max="2" width="19.25390625" style="0" customWidth="1"/>
  </cols>
  <sheetData>
    <row r="1" ht="12.75">
      <c r="A1" s="1" t="s">
        <v>48</v>
      </c>
    </row>
    <row r="2" s="26" customFormat="1" ht="12.75">
      <c r="A2" s="26" t="s">
        <v>49</v>
      </c>
    </row>
    <row r="3" spans="1:2" ht="12.75" collapsed="1">
      <c r="A3" s="33" t="s">
        <v>0</v>
      </c>
      <c r="B3" s="32">
        <f>B4+B5</f>
        <v>230000</v>
      </c>
    </row>
    <row r="4" spans="1:2" ht="12.75" hidden="1" outlineLevel="1">
      <c r="A4" s="41" t="str">
        <f>вложения!A6</f>
        <v>ремонт</v>
      </c>
      <c r="B4" s="34">
        <f>вложения!B6</f>
        <v>180000</v>
      </c>
    </row>
    <row r="5" spans="1:2" ht="12.75" hidden="1" outlineLevel="1">
      <c r="A5" s="41" t="str">
        <f>вложения!A10</f>
        <v>оборудование</v>
      </c>
      <c r="B5" s="34">
        <f>вложения!B10</f>
        <v>50000</v>
      </c>
    </row>
    <row r="6" spans="1:2" ht="12.75">
      <c r="A6" s="33" t="s">
        <v>3</v>
      </c>
      <c r="B6" s="32">
        <f>B7+B11</f>
        <v>271000</v>
      </c>
    </row>
    <row r="7" spans="1:2" s="4" customFormat="1" ht="12.75" collapsed="1">
      <c r="A7" s="55" t="s">
        <v>4</v>
      </c>
      <c r="B7" s="56">
        <f>SUM(B8:B10)</f>
        <v>90200</v>
      </c>
    </row>
    <row r="8" spans="1:2" s="4" customFormat="1" ht="12.75" hidden="1" outlineLevel="1">
      <c r="A8" s="41" t="str">
        <f>'усл-пост'!A6</f>
        <v>аренда</v>
      </c>
      <c r="B8" s="34">
        <f>'усл-пост'!B6</f>
        <v>35000</v>
      </c>
    </row>
    <row r="9" spans="1:2" s="4" customFormat="1" ht="12.75" hidden="1" outlineLevel="1">
      <c r="A9" s="41" t="str">
        <f>'усл-пост'!A8</f>
        <v>административные</v>
      </c>
      <c r="B9" s="34">
        <f>'усл-пост'!B8</f>
        <v>15000</v>
      </c>
    </row>
    <row r="10" spans="1:2" s="4" customFormat="1" ht="12.75" hidden="1" outlineLevel="1">
      <c r="A10" s="41" t="str">
        <f>'усл-пост'!A9</f>
        <v>коммерческие, 10%</v>
      </c>
      <c r="B10" s="34">
        <f>'усл-пост'!B9</f>
        <v>40200</v>
      </c>
    </row>
    <row r="11" spans="1:2" s="4" customFormat="1" ht="12.75" collapsed="1">
      <c r="A11" s="55" t="s">
        <v>6</v>
      </c>
      <c r="B11" s="56">
        <f>SUM(B12:B13)</f>
        <v>180800</v>
      </c>
    </row>
    <row r="12" spans="1:2" s="4" customFormat="1" ht="12.75" hidden="1" outlineLevel="1">
      <c r="A12" s="41" t="str">
        <f>'усл-пер'!A18</f>
        <v>материалы</v>
      </c>
      <c r="B12" s="34">
        <f>'усл-пер'!B18</f>
        <v>80400</v>
      </c>
    </row>
    <row r="13" spans="1:2" s="4" customFormat="1" ht="12.75" hidden="1" outlineLevel="1">
      <c r="A13" s="41" t="str">
        <f>'усл-пер'!A14</f>
        <v>зарплата</v>
      </c>
      <c r="B13" s="34">
        <f>'усл-пер'!B14</f>
        <v>100400</v>
      </c>
    </row>
    <row r="14" spans="1:2" ht="12.75">
      <c r="A14" s="33" t="s">
        <v>7</v>
      </c>
      <c r="B14" s="32">
        <f>выручка!B17</f>
        <v>402000</v>
      </c>
    </row>
    <row r="15" spans="1:2" ht="12.75">
      <c r="A15" s="33" t="s">
        <v>89</v>
      </c>
      <c r="B15" s="32">
        <f>налоги!D16</f>
        <v>52734</v>
      </c>
    </row>
    <row r="16" ht="13.5" thickBot="1">
      <c r="A16" s="33"/>
    </row>
    <row r="17" spans="1:2" ht="13.5">
      <c r="A17" s="35" t="s">
        <v>8</v>
      </c>
      <c r="B17" s="37"/>
    </row>
    <row r="18" spans="1:2" ht="12.75">
      <c r="A18" s="30" t="s">
        <v>9</v>
      </c>
      <c r="B18" s="28">
        <f>B3</f>
        <v>230000</v>
      </c>
    </row>
    <row r="19" spans="1:2" ht="12.75">
      <c r="A19" s="29" t="s">
        <v>10</v>
      </c>
      <c r="B19" s="27">
        <f>B6</f>
        <v>271000</v>
      </c>
    </row>
    <row r="20" spans="1:2" ht="12.75">
      <c r="A20" s="29" t="s">
        <v>11</v>
      </c>
      <c r="B20" s="27">
        <f>B14</f>
        <v>402000</v>
      </c>
    </row>
    <row r="21" spans="1:2" ht="12.75">
      <c r="A21" s="29" t="s">
        <v>88</v>
      </c>
      <c r="B21" s="27">
        <f>B15</f>
        <v>52734</v>
      </c>
    </row>
    <row r="22" spans="1:2" ht="12.75">
      <c r="A22" s="30" t="s">
        <v>12</v>
      </c>
      <c r="B22" s="28">
        <f>B20-B19-B21</f>
        <v>78266</v>
      </c>
    </row>
    <row r="23" spans="1:2" ht="12.75">
      <c r="A23" s="30" t="s">
        <v>13</v>
      </c>
      <c r="B23" s="36">
        <f>B22/B19</f>
        <v>0.28880442804428047</v>
      </c>
    </row>
    <row r="24" spans="1:2" ht="13.5" thickBot="1">
      <c r="A24" s="31" t="s">
        <v>14</v>
      </c>
      <c r="B24" s="38">
        <f>B18/B22</f>
        <v>2.9386962410241995</v>
      </c>
    </row>
    <row r="25" ht="12.75">
      <c r="B25" s="2"/>
    </row>
    <row r="27" s="1" customFormat="1" ht="12.75">
      <c r="A27" s="54" t="s">
        <v>127</v>
      </c>
    </row>
    <row r="28" spans="1:2" ht="12.75" outlineLevel="1">
      <c r="A28" t="s">
        <v>18</v>
      </c>
      <c r="B28">
        <v>60</v>
      </c>
    </row>
    <row r="29" spans="1:2" ht="12.75" outlineLevel="1">
      <c r="A29" t="s">
        <v>94</v>
      </c>
      <c r="B29">
        <v>0</v>
      </c>
    </row>
    <row r="30" spans="1:2" ht="12.75" outlineLevel="1">
      <c r="A30" t="s">
        <v>95</v>
      </c>
      <c r="B30">
        <v>7000</v>
      </c>
    </row>
    <row r="31" spans="1:2" ht="12.75" outlineLevel="1">
      <c r="A31" t="s">
        <v>96</v>
      </c>
      <c r="B31">
        <v>2</v>
      </c>
    </row>
    <row r="32" spans="1:2" ht="12.75" outlineLevel="1">
      <c r="A32" t="s">
        <v>97</v>
      </c>
      <c r="B32">
        <v>18</v>
      </c>
    </row>
    <row r="33" spans="1:2" ht="12.75" outlineLevel="1">
      <c r="A33" t="s">
        <v>98</v>
      </c>
      <c r="B33">
        <v>10</v>
      </c>
    </row>
    <row r="34" spans="1:2" ht="12.75" outlineLevel="1">
      <c r="A34" t="s">
        <v>65</v>
      </c>
      <c r="B34">
        <v>10</v>
      </c>
    </row>
    <row r="35" spans="1:2" ht="12.75" outlineLevel="1">
      <c r="A35" t="s">
        <v>100</v>
      </c>
      <c r="B35">
        <v>12</v>
      </c>
    </row>
    <row r="36" spans="1:2" ht="12.75" outlineLevel="1">
      <c r="A36" t="s">
        <v>99</v>
      </c>
      <c r="B36">
        <v>0.2</v>
      </c>
    </row>
    <row r="37" spans="1:2" ht="12.75" outlineLevel="1">
      <c r="A37" t="s">
        <v>25</v>
      </c>
      <c r="B37">
        <v>300</v>
      </c>
    </row>
    <row r="38" spans="1:2" ht="12.75" outlineLevel="1">
      <c r="A38" t="s">
        <v>123</v>
      </c>
      <c r="B38">
        <v>10</v>
      </c>
    </row>
    <row r="39" spans="1:2" ht="12.75" outlineLevel="1">
      <c r="A39" t="s">
        <v>124</v>
      </c>
      <c r="B39">
        <v>0.5</v>
      </c>
    </row>
    <row r="40" spans="1:2" ht="12.75" outlineLevel="1">
      <c r="A40" t="s">
        <v>125</v>
      </c>
      <c r="B40">
        <v>0.7</v>
      </c>
    </row>
    <row r="41" spans="1:2" ht="12.75" outlineLevel="1">
      <c r="A41" t="s">
        <v>126</v>
      </c>
      <c r="B41">
        <v>0.1</v>
      </c>
    </row>
    <row r="42" spans="1:2" ht="12.75" outlineLevel="1">
      <c r="A42" t="s">
        <v>107</v>
      </c>
      <c r="B42" s="42" t="str">
        <f>налоги!A7</f>
        <v>упрощенная система</v>
      </c>
    </row>
    <row r="43" spans="1:2" ht="12.75" outlineLevel="1">
      <c r="A43" t="s">
        <v>108</v>
      </c>
      <c r="B43" s="42" t="str">
        <f>'усл-пер'!A10</f>
        <v>Схема с окладом</v>
      </c>
    </row>
  </sheetData>
  <hyperlinks>
    <hyperlink ref="A4" location="вложения!B6" display="вложения!B6"/>
    <hyperlink ref="A5" location="вложения!A10" display="вложения!A10"/>
    <hyperlink ref="A8" location="'усл-пост'!A6" display="'усл-пост'!A6"/>
    <hyperlink ref="A9" location="'усл-пост'!A8" display="'усл-пост'!A8"/>
    <hyperlink ref="A10" location="'усл-пост'!A9" display="'усл-пост'!A9"/>
    <hyperlink ref="A12" location="'усл-пер'!A21" display="'усл-пер'!A21"/>
    <hyperlink ref="A13" location="'усл-пер'!A29" display="'усл-пер'!A29"/>
    <hyperlink ref="B42" location="налоги!A7" display="система"/>
    <hyperlink ref="B43" location="'усл-пер'!A10" display="'усл-пер'!A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26.625" style="0" customWidth="1"/>
    <col min="2" max="2" width="12.25390625" style="2" customWidth="1"/>
    <col min="3" max="3" width="21.50390625" style="0" customWidth="1"/>
  </cols>
  <sheetData>
    <row r="1" spans="1:2" s="1" customFormat="1" ht="12.75">
      <c r="A1" s="1" t="s">
        <v>121</v>
      </c>
      <c r="B1" s="5"/>
    </row>
    <row r="2" s="26" customFormat="1" ht="12.75">
      <c r="A2" s="26" t="s">
        <v>45</v>
      </c>
    </row>
    <row r="3" spans="1:2" s="9" customFormat="1" ht="12.75">
      <c r="A3" s="9" t="s">
        <v>15</v>
      </c>
      <c r="B3" s="23" t="s">
        <v>16</v>
      </c>
    </row>
    <row r="4" spans="1:2" ht="12.75">
      <c r="A4" t="s">
        <v>18</v>
      </c>
      <c r="B4" s="10">
        <f>план!B28</f>
        <v>60</v>
      </c>
    </row>
    <row r="5" spans="1:2" ht="12.75">
      <c r="A5" t="s">
        <v>26</v>
      </c>
      <c r="B5" s="10">
        <v>3000</v>
      </c>
    </row>
    <row r="6" spans="1:2" ht="12.75">
      <c r="A6" t="s">
        <v>1</v>
      </c>
      <c r="B6" s="2">
        <f>B4*B5</f>
        <v>180000</v>
      </c>
    </row>
    <row r="7" spans="1:2" ht="12.75">
      <c r="A7" s="3"/>
      <c r="B7" s="8"/>
    </row>
    <row r="8" spans="1:2" ht="12.75">
      <c r="A8" t="s">
        <v>91</v>
      </c>
      <c r="B8" s="10">
        <f>оборудование!G23</f>
        <v>50000</v>
      </c>
    </row>
    <row r="9" spans="1:2" ht="12.75">
      <c r="A9" t="s">
        <v>92</v>
      </c>
      <c r="B9" s="10">
        <v>0</v>
      </c>
    </row>
    <row r="10" spans="1:2" ht="12.75">
      <c r="A10" t="s">
        <v>2</v>
      </c>
      <c r="B10" s="10">
        <f>B8+B9</f>
        <v>50000</v>
      </c>
    </row>
    <row r="11" spans="1:2" ht="12.75">
      <c r="A11" s="3"/>
      <c r="B11" s="8"/>
    </row>
    <row r="12" spans="1:2" ht="12.75">
      <c r="A12" t="s">
        <v>20</v>
      </c>
      <c r="B12" s="2">
        <f>B6+B8+B9</f>
        <v>230000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workbookViewId="0" topLeftCell="A1">
      <selection activeCell="A6" sqref="A6"/>
    </sheetView>
  </sheetViews>
  <sheetFormatPr defaultColWidth="9.00390625" defaultRowHeight="12.75" outlineLevelCol="1"/>
  <cols>
    <col min="1" max="1" width="22.50390625" style="0" customWidth="1" outlineLevel="1"/>
    <col min="2" max="2" width="16.00390625" style="0" customWidth="1" outlineLevel="1"/>
    <col min="3" max="3" width="13.00390625" style="0" customWidth="1" outlineLevel="1"/>
    <col min="4" max="4" width="27.75390625" style="0" customWidth="1"/>
    <col min="5" max="5" width="8.875" style="7" customWidth="1"/>
    <col min="6" max="6" width="7.875" style="7" customWidth="1"/>
    <col min="7" max="7" width="11.375" style="7" customWidth="1"/>
  </cols>
  <sheetData>
    <row r="1" spans="4:7" s="1" customFormat="1" ht="12.75">
      <c r="D1" s="1" t="s">
        <v>90</v>
      </c>
      <c r="E1" s="23"/>
      <c r="F1" s="23"/>
      <c r="G1" s="23"/>
    </row>
    <row r="3" spans="1:7" s="9" customFormat="1" ht="12.75">
      <c r="A3" s="44" t="s">
        <v>52</v>
      </c>
      <c r="B3" s="45" t="s">
        <v>57</v>
      </c>
      <c r="C3" s="45" t="s">
        <v>58</v>
      </c>
      <c r="D3" s="45" t="s">
        <v>59</v>
      </c>
      <c r="E3" s="52" t="s">
        <v>19</v>
      </c>
      <c r="F3" s="52" t="s">
        <v>60</v>
      </c>
      <c r="G3" s="52" t="s">
        <v>61</v>
      </c>
    </row>
    <row r="4" spans="1:7" ht="12.75">
      <c r="A4" t="s">
        <v>53</v>
      </c>
      <c r="B4" t="s">
        <v>110</v>
      </c>
      <c r="C4" t="s">
        <v>114</v>
      </c>
      <c r="D4" t="s">
        <v>91</v>
      </c>
      <c r="E4" s="7">
        <v>20000</v>
      </c>
      <c r="F4" s="7">
        <v>1</v>
      </c>
      <c r="G4" s="7">
        <f>E4*F4</f>
        <v>20000</v>
      </c>
    </row>
    <row r="5" spans="1:7" ht="12.75">
      <c r="A5" t="s">
        <v>55</v>
      </c>
      <c r="B5" t="s">
        <v>111</v>
      </c>
      <c r="C5" t="s">
        <v>115</v>
      </c>
      <c r="D5" t="s">
        <v>92</v>
      </c>
      <c r="E5" s="7">
        <v>30000</v>
      </c>
      <c r="F5" s="7">
        <v>1</v>
      </c>
      <c r="G5" s="7">
        <f aca="true" t="shared" si="0" ref="G5:G16">E5*F5</f>
        <v>30000</v>
      </c>
    </row>
    <row r="6" ht="12.75">
      <c r="G6" s="7">
        <f t="shared" si="0"/>
        <v>0</v>
      </c>
    </row>
    <row r="7" ht="12.75">
      <c r="G7" s="7">
        <f t="shared" si="0"/>
        <v>0</v>
      </c>
    </row>
    <row r="8" ht="12.75">
      <c r="G8" s="7">
        <f t="shared" si="0"/>
        <v>0</v>
      </c>
    </row>
    <row r="9" ht="12.75">
      <c r="G9" s="7">
        <f t="shared" si="0"/>
        <v>0</v>
      </c>
    </row>
    <row r="10" ht="12.75">
      <c r="G10" s="7">
        <f t="shared" si="0"/>
        <v>0</v>
      </c>
    </row>
    <row r="11" ht="12.75">
      <c r="G11" s="7">
        <f t="shared" si="0"/>
        <v>0</v>
      </c>
    </row>
    <row r="12" ht="12.75">
      <c r="G12" s="7">
        <f t="shared" si="0"/>
        <v>0</v>
      </c>
    </row>
    <row r="13" ht="12.75">
      <c r="G13" s="7">
        <f t="shared" si="0"/>
        <v>0</v>
      </c>
    </row>
    <row r="14" ht="12.75">
      <c r="G14" s="7">
        <f t="shared" si="0"/>
        <v>0</v>
      </c>
    </row>
    <row r="15" ht="12.75">
      <c r="G15" s="7">
        <f t="shared" si="0"/>
        <v>0</v>
      </c>
    </row>
    <row r="16" ht="12.75">
      <c r="G16" s="7">
        <f t="shared" si="0"/>
        <v>0</v>
      </c>
    </row>
    <row r="17" ht="12.75">
      <c r="G17" s="7">
        <f>E17*F17</f>
        <v>0</v>
      </c>
    </row>
    <row r="18" ht="12.75">
      <c r="G18" s="7">
        <f>E18*F18</f>
        <v>0</v>
      </c>
    </row>
    <row r="19" ht="12.75">
      <c r="G19" s="7">
        <f>E19*F19</f>
        <v>0</v>
      </c>
    </row>
    <row r="20" ht="12.75">
      <c r="G20" s="7">
        <f>E20*F20</f>
        <v>0</v>
      </c>
    </row>
    <row r="21" ht="12.75">
      <c r="G21" s="7">
        <f>E21*F21</f>
        <v>0</v>
      </c>
    </row>
    <row r="22" spans="1:7" ht="12.75">
      <c r="A22" s="3"/>
      <c r="B22" s="3"/>
      <c r="C22" s="3"/>
      <c r="D22" s="3"/>
      <c r="E22" s="25"/>
      <c r="F22" s="25"/>
      <c r="G22" s="25"/>
    </row>
    <row r="23" spans="4:7" s="1" customFormat="1" ht="12.75">
      <c r="D23" s="1" t="s">
        <v>90</v>
      </c>
      <c r="E23" s="23"/>
      <c r="F23" s="23">
        <f>SUM(F4:F22)</f>
        <v>2</v>
      </c>
      <c r="G23" s="23">
        <f>SUM(G4:G22)</f>
        <v>50000</v>
      </c>
    </row>
    <row r="24" spans="1:7" s="1" customFormat="1" ht="12.75">
      <c r="A24" s="1" t="s">
        <v>56</v>
      </c>
      <c r="E24" s="23"/>
      <c r="F24" s="23"/>
      <c r="G24" s="23"/>
    </row>
    <row r="25" spans="1:3" ht="12.75">
      <c r="A25" t="s">
        <v>53</v>
      </c>
      <c r="B25" t="s">
        <v>110</v>
      </c>
      <c r="C25" t="s">
        <v>114</v>
      </c>
    </row>
    <row r="26" spans="1:3" ht="12.75">
      <c r="A26" t="s">
        <v>54</v>
      </c>
      <c r="B26" t="s">
        <v>111</v>
      </c>
      <c r="C26" t="s">
        <v>115</v>
      </c>
    </row>
    <row r="27" spans="1:3" ht="12.75">
      <c r="A27" t="s">
        <v>55</v>
      </c>
      <c r="B27" t="s">
        <v>112</v>
      </c>
      <c r="C27" t="s">
        <v>116</v>
      </c>
    </row>
    <row r="28" spans="1:3" ht="12.75">
      <c r="A28" t="s">
        <v>109</v>
      </c>
      <c r="B28" t="s">
        <v>113</v>
      </c>
      <c r="C28" t="s">
        <v>117</v>
      </c>
    </row>
    <row r="29" ht="12.75">
      <c r="C29" t="s">
        <v>118</v>
      </c>
    </row>
    <row r="30" ht="12.75">
      <c r="C30" t="s">
        <v>119</v>
      </c>
    </row>
  </sheetData>
  <dataValidations count="4">
    <dataValidation type="list" allowBlank="1" showInputMessage="1" showErrorMessage="1" sqref="A4">
      <formula1>$A$25:$A$28</formula1>
    </dataValidation>
    <dataValidation type="list" allowBlank="1" showInputMessage="1" showErrorMessage="1" sqref="B4:B23">
      <formula1>$B$25:$B$28</formula1>
    </dataValidation>
    <dataValidation type="list" allowBlank="1" showInputMessage="1" showErrorMessage="1" sqref="C4:C23">
      <formula1>$C$25:$C$30</formula1>
    </dataValidation>
    <dataValidation type="list" allowBlank="1" showInputMessage="1" showErrorMessage="1" sqref="A5:A21">
      <formula1>$A$25:$A$30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="85" zoomScaleNormal="85" workbookViewId="0" topLeftCell="A1">
      <selection activeCell="C21" sqref="C21"/>
    </sheetView>
  </sheetViews>
  <sheetFormatPr defaultColWidth="9.00390625" defaultRowHeight="12.75"/>
  <cols>
    <col min="1" max="1" width="24.875" style="0" customWidth="1"/>
    <col min="2" max="2" width="12.25390625" style="2" customWidth="1"/>
    <col min="3" max="3" width="21.50390625" style="0" customWidth="1"/>
  </cols>
  <sheetData>
    <row r="1" spans="1:2" s="1" customFormat="1" ht="12.75">
      <c r="A1" s="1" t="s">
        <v>21</v>
      </c>
      <c r="B1" s="5"/>
    </row>
    <row r="2" spans="1:2" s="26" customFormat="1" ht="12.75">
      <c r="A2" s="26" t="s">
        <v>45</v>
      </c>
      <c r="B2" s="40"/>
    </row>
    <row r="3" spans="1:2" s="9" customFormat="1" ht="12.75">
      <c r="A3" s="9" t="s">
        <v>15</v>
      </c>
      <c r="B3" s="23" t="s">
        <v>16</v>
      </c>
    </row>
    <row r="4" spans="1:2" ht="12.75">
      <c r="A4" t="s">
        <v>18</v>
      </c>
      <c r="B4" s="10">
        <f>план!B28</f>
        <v>60</v>
      </c>
    </row>
    <row r="5" spans="1:2" ht="12.75">
      <c r="A5" t="s">
        <v>22</v>
      </c>
      <c r="B5" s="10">
        <f>план!B30/12</f>
        <v>583.3333333333334</v>
      </c>
    </row>
    <row r="6" spans="1:2" ht="12.75">
      <c r="A6" t="s">
        <v>5</v>
      </c>
      <c r="B6" s="2">
        <f>B4*B5</f>
        <v>35000</v>
      </c>
    </row>
    <row r="7" spans="1:2" ht="12.75">
      <c r="A7" s="3"/>
      <c r="B7" s="8"/>
    </row>
    <row r="8" spans="1:2" ht="12.75">
      <c r="A8" t="s">
        <v>62</v>
      </c>
      <c r="B8" s="48">
        <v>15000</v>
      </c>
    </row>
    <row r="9" spans="1:2" ht="12.75">
      <c r="A9" t="s">
        <v>106</v>
      </c>
      <c r="B9" s="10">
        <f>выручка!B17*0.1</f>
        <v>40200</v>
      </c>
    </row>
    <row r="10" spans="1:2" ht="12.75">
      <c r="A10" s="3"/>
      <c r="B10" s="8"/>
    </row>
    <row r="11" spans="1:2" ht="12.75">
      <c r="A11" t="s">
        <v>23</v>
      </c>
      <c r="B11" s="2">
        <f>B6+B8+B9</f>
        <v>90200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23.125" style="0" customWidth="1"/>
    <col min="2" max="2" width="11.625" style="6" customWidth="1"/>
    <col min="3" max="3" width="12.25390625" style="0" customWidth="1"/>
    <col min="4" max="4" width="12.50390625" style="0" customWidth="1"/>
    <col min="5" max="5" width="13.25390625" style="0" customWidth="1"/>
  </cols>
  <sheetData>
    <row r="1" spans="1:2" ht="12.75">
      <c r="A1" s="1" t="s">
        <v>77</v>
      </c>
      <c r="B1" s="9"/>
    </row>
    <row r="2" spans="1:3" s="26" customFormat="1" ht="12.75">
      <c r="A2" s="26" t="s">
        <v>45</v>
      </c>
      <c r="B2" s="39"/>
      <c r="C2" s="40"/>
    </row>
    <row r="3" spans="2:3" s="26" customFormat="1" ht="12.75">
      <c r="B3" s="39"/>
      <c r="C3" s="40"/>
    </row>
    <row r="4" spans="1:3" s="15" customFormat="1" ht="12.75">
      <c r="A4" s="15" t="s">
        <v>84</v>
      </c>
      <c r="B4" s="49"/>
      <c r="C4" s="10"/>
    </row>
    <row r="5" spans="1:3" s="15" customFormat="1" ht="12.75">
      <c r="A5" s="15" t="s">
        <v>87</v>
      </c>
      <c r="B5" s="49"/>
      <c r="C5" s="10"/>
    </row>
    <row r="6" spans="2:3" s="15" customFormat="1" ht="12.75">
      <c r="B6" s="49"/>
      <c r="C6" s="10"/>
    </row>
    <row r="7" spans="1:4" s="1" customFormat="1" ht="12.75">
      <c r="A7" s="51" t="str">
        <f>A5</f>
        <v>упрощенная система</v>
      </c>
      <c r="B7" s="9" t="s">
        <v>80</v>
      </c>
      <c r="C7" s="9" t="s">
        <v>81</v>
      </c>
      <c r="D7" s="9" t="s">
        <v>82</v>
      </c>
    </row>
    <row r="8" spans="1:4" ht="12.75">
      <c r="A8" s="17" t="s">
        <v>104</v>
      </c>
      <c r="B8" s="46">
        <f>IF($A$7=$A$4,1*18/118,0)</f>
        <v>0</v>
      </c>
      <c r="C8" s="7">
        <f>выручка!B17</f>
        <v>402000</v>
      </c>
      <c r="D8" s="7">
        <f aca="true" t="shared" si="0" ref="D8:D14">B8*C8</f>
        <v>0</v>
      </c>
    </row>
    <row r="9" spans="1:4" ht="12.75">
      <c r="A9" s="17" t="s">
        <v>105</v>
      </c>
      <c r="B9" s="46">
        <f>IF($A$7=$A$4,1*18/118,0)</f>
        <v>0</v>
      </c>
      <c r="C9" s="7">
        <f>-('усл-пост'!B11+'усл-пер'!B18)</f>
        <v>-170600</v>
      </c>
      <c r="D9" s="7">
        <f t="shared" si="0"/>
        <v>0</v>
      </c>
    </row>
    <row r="10" spans="1:4" ht="12.75">
      <c r="A10" s="17" t="s">
        <v>78</v>
      </c>
      <c r="B10" s="46">
        <f>IF(A7=A4,0.2,0)</f>
        <v>0</v>
      </c>
      <c r="C10" s="7">
        <f>(выручка!B17-'усл-пост'!B11-'усл-пер'!B18)*100/118-D13-D14-'усл-пер'!B14</f>
        <v>80139.69491525425</v>
      </c>
      <c r="D10" s="7">
        <f t="shared" si="0"/>
        <v>0</v>
      </c>
    </row>
    <row r="11" spans="1:4" ht="12.75">
      <c r="A11" s="17" t="s">
        <v>79</v>
      </c>
      <c r="B11" s="46">
        <f>IF(A7=A4,0,0.06)</f>
        <v>0.06</v>
      </c>
      <c r="C11" s="7">
        <f>выручка!B17</f>
        <v>402000</v>
      </c>
      <c r="D11" s="7">
        <f t="shared" si="0"/>
        <v>24120</v>
      </c>
    </row>
    <row r="12" spans="1:4" ht="12.75">
      <c r="A12" s="17" t="s">
        <v>83</v>
      </c>
      <c r="B12" s="46">
        <f>IF($A$7=$A$4,0.13,0.13)</f>
        <v>0.13</v>
      </c>
      <c r="C12" s="7">
        <f>'усл-пер'!B14</f>
        <v>100400</v>
      </c>
      <c r="D12" s="7">
        <f t="shared" si="0"/>
        <v>13052</v>
      </c>
    </row>
    <row r="13" spans="1:4" ht="12.75">
      <c r="A13" s="17" t="s">
        <v>85</v>
      </c>
      <c r="B13" s="46">
        <f>IF($A$7=$A$4,0.26,0.14)</f>
        <v>0.14</v>
      </c>
      <c r="C13" s="7">
        <f>'усл-пер'!B14</f>
        <v>100400</v>
      </c>
      <c r="D13" s="7">
        <f t="shared" si="0"/>
        <v>14056.000000000002</v>
      </c>
    </row>
    <row r="14" spans="1:4" ht="12.75">
      <c r="A14" s="17" t="s">
        <v>86</v>
      </c>
      <c r="B14" s="57">
        <f>IF($A$7=$A$4,0.015,0.015)</f>
        <v>0.015</v>
      </c>
      <c r="C14" s="7">
        <f>'усл-пер'!B14</f>
        <v>100400</v>
      </c>
      <c r="D14" s="7">
        <f t="shared" si="0"/>
        <v>1506</v>
      </c>
    </row>
    <row r="15" spans="1:4" ht="12.75">
      <c r="A15" s="3"/>
      <c r="B15" s="50"/>
      <c r="C15" s="8"/>
      <c r="D15" s="25"/>
    </row>
    <row r="16" spans="1:4" ht="12.75">
      <c r="A16" s="17" t="s">
        <v>128</v>
      </c>
      <c r="B16" s="46"/>
      <c r="C16" s="2"/>
      <c r="D16" s="7">
        <f>SUM(D8:D15)</f>
        <v>52734</v>
      </c>
    </row>
    <row r="17" spans="1:5" ht="12.75">
      <c r="A17" s="17" t="s">
        <v>129</v>
      </c>
      <c r="B17" s="7"/>
      <c r="C17" s="6"/>
      <c r="D17" s="7">
        <f>D16-D12</f>
        <v>39682</v>
      </c>
      <c r="E17" s="6"/>
    </row>
    <row r="18" spans="3:5" ht="12.75">
      <c r="C18" s="6"/>
      <c r="D18" s="6"/>
      <c r="E18" s="6"/>
    </row>
    <row r="19" spans="3:5" ht="12.75">
      <c r="C19" s="6"/>
      <c r="D19" s="7"/>
      <c r="E19" s="6"/>
    </row>
    <row r="20" spans="3:5" ht="12.75">
      <c r="C20" s="6"/>
      <c r="D20" s="7"/>
      <c r="E20" s="6"/>
    </row>
    <row r="21" spans="3:5" ht="12.75">
      <c r="C21" s="6"/>
      <c r="D21" s="6"/>
      <c r="E21" s="6"/>
    </row>
    <row r="22" spans="3:5" ht="12.75">
      <c r="C22" s="6"/>
      <c r="D22" s="7"/>
      <c r="E22" s="6"/>
    </row>
    <row r="23" spans="3:5" ht="12.75">
      <c r="C23" s="6"/>
      <c r="D23" s="7"/>
      <c r="E23" s="6"/>
    </row>
    <row r="24" spans="3:5" ht="12.75">
      <c r="C24" s="6"/>
      <c r="D24" s="6"/>
      <c r="E24" s="6"/>
    </row>
    <row r="25" spans="3:5" ht="12.75">
      <c r="C25" s="6"/>
      <c r="D25" s="7"/>
      <c r="E25" s="6"/>
    </row>
    <row r="26" spans="3:5" ht="12.75">
      <c r="C26" s="6"/>
      <c r="D26" s="7"/>
      <c r="E26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2"/>
  <sheetViews>
    <sheetView zoomScale="85" zoomScaleNormal="85" workbookViewId="0" topLeftCell="A1">
      <selection activeCell="B14" sqref="B14"/>
    </sheetView>
  </sheetViews>
  <sheetFormatPr defaultColWidth="9.00390625" defaultRowHeight="12.75"/>
  <cols>
    <col min="1" max="1" width="32.875" style="0" customWidth="1"/>
    <col min="2" max="2" width="11.00390625" style="2" customWidth="1"/>
    <col min="3" max="3" width="20.00390625" style="0" customWidth="1"/>
    <col min="4" max="4" width="11.75390625" style="0" customWidth="1"/>
    <col min="5" max="5" width="17.50390625" style="0" customWidth="1"/>
    <col min="6" max="6" width="10.375" style="0" customWidth="1"/>
    <col min="7" max="7" width="15.125" style="0" customWidth="1"/>
  </cols>
  <sheetData>
    <row r="1" spans="1:2" s="1" customFormat="1" ht="12.75">
      <c r="A1" s="1" t="s">
        <v>24</v>
      </c>
      <c r="B1" s="5"/>
    </row>
    <row r="2" spans="1:2" s="26" customFormat="1" ht="12.75">
      <c r="A2" s="26" t="s">
        <v>45</v>
      </c>
      <c r="B2" s="40"/>
    </row>
    <row r="3" spans="1:4" s="1" customFormat="1" ht="12.75">
      <c r="A3" s="1" t="s">
        <v>74</v>
      </c>
      <c r="B3" s="5"/>
      <c r="C3" s="5"/>
      <c r="D3" s="5"/>
    </row>
    <row r="4" spans="1:2" ht="12.75">
      <c r="A4" t="s">
        <v>120</v>
      </c>
      <c r="B4" s="10">
        <f>план!B31</f>
        <v>2</v>
      </c>
    </row>
    <row r="5" spans="1:2" ht="12.75">
      <c r="A5" t="s">
        <v>63</v>
      </c>
      <c r="B5" s="10">
        <f>план!B32</f>
        <v>18</v>
      </c>
    </row>
    <row r="6" spans="1:2" ht="12.75">
      <c r="A6" t="s">
        <v>64</v>
      </c>
      <c r="B6" s="10">
        <f>план!B33</f>
        <v>10</v>
      </c>
    </row>
    <row r="7" spans="1:2" ht="12.75">
      <c r="A7" t="s">
        <v>72</v>
      </c>
      <c r="B7" s="10"/>
    </row>
    <row r="8" spans="1:2" ht="12.75">
      <c r="A8" t="s">
        <v>101</v>
      </c>
      <c r="B8" s="10"/>
    </row>
    <row r="9" ht="12.75">
      <c r="B9" s="10"/>
    </row>
    <row r="10" ht="12.75">
      <c r="A10" s="54" t="str">
        <f>A7</f>
        <v>Схема с окладом</v>
      </c>
    </row>
    <row r="11" spans="1:2" ht="12.75">
      <c r="A11" t="s">
        <v>73</v>
      </c>
      <c r="B11" s="48">
        <v>10000</v>
      </c>
    </row>
    <row r="12" spans="1:2" ht="12.75">
      <c r="A12" t="s">
        <v>102</v>
      </c>
      <c r="B12" s="53">
        <f>план!B41</f>
        <v>0.1</v>
      </c>
    </row>
    <row r="13" spans="1:2" ht="12.75">
      <c r="A13" s="15" t="s">
        <v>103</v>
      </c>
      <c r="B13" s="53">
        <f>IF(A10=A7,B11+выручка!B17*'усл-пер'!B12,выручка!B17*'усл-пер'!B12)</f>
        <v>50200</v>
      </c>
    </row>
    <row r="14" spans="1:2" ht="12.75">
      <c r="A14" s="15" t="s">
        <v>28</v>
      </c>
      <c r="B14" s="53">
        <f>B13*B4</f>
        <v>100400</v>
      </c>
    </row>
    <row r="15" ht="12.75">
      <c r="B15"/>
    </row>
    <row r="16" spans="1:2" ht="12.75">
      <c r="A16" s="1" t="s">
        <v>75</v>
      </c>
      <c r="B16" s="5"/>
    </row>
    <row r="17" spans="1:2" ht="12.75">
      <c r="A17" t="s">
        <v>76</v>
      </c>
      <c r="B17" s="53">
        <f>план!B36</f>
        <v>0.2</v>
      </c>
    </row>
    <row r="18" spans="1:2" ht="12.75">
      <c r="A18" t="s">
        <v>27</v>
      </c>
      <c r="B18" s="2">
        <f>выручка!B17*B17</f>
        <v>80400</v>
      </c>
    </row>
    <row r="22" spans="1:2" s="1" customFormat="1" ht="12.75">
      <c r="A22"/>
      <c r="B2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2.25390625" style="2" customWidth="1"/>
    <col min="3" max="3" width="16.75390625" style="6" customWidth="1"/>
  </cols>
  <sheetData>
    <row r="1" spans="1:2" s="1" customFormat="1" ht="12.75">
      <c r="A1" s="1" t="s">
        <v>7</v>
      </c>
      <c r="B1" s="5"/>
    </row>
    <row r="2" spans="1:2" s="26" customFormat="1" ht="12.75">
      <c r="A2" s="26" t="s">
        <v>45</v>
      </c>
      <c r="B2" s="40"/>
    </row>
    <row r="3" spans="1:2" s="9" customFormat="1" ht="12.75">
      <c r="A3" s="9" t="s">
        <v>15</v>
      </c>
      <c r="B3" s="23" t="s">
        <v>16</v>
      </c>
    </row>
    <row r="4" spans="1:3" ht="12.75">
      <c r="A4" t="s">
        <v>25</v>
      </c>
      <c r="B4" s="13">
        <f>план!B37</f>
        <v>300</v>
      </c>
      <c r="C4"/>
    </row>
    <row r="5" spans="1:3" ht="12.75">
      <c r="A5" t="s">
        <v>122</v>
      </c>
      <c r="B5" s="13">
        <f>план!B38</f>
        <v>10</v>
      </c>
      <c r="C5"/>
    </row>
    <row r="6" spans="1:3" ht="12.75">
      <c r="A6" t="s">
        <v>63</v>
      </c>
      <c r="B6" s="13">
        <v>10</v>
      </c>
      <c r="C6"/>
    </row>
    <row r="7" spans="1:3" ht="12.75">
      <c r="A7" t="s">
        <v>64</v>
      </c>
      <c r="B7" s="13">
        <f>план!B33</f>
        <v>10</v>
      </c>
      <c r="C7"/>
    </row>
    <row r="8" spans="1:3" ht="12.75">
      <c r="A8" t="s">
        <v>124</v>
      </c>
      <c r="B8" s="47">
        <f>план!B39</f>
        <v>0.5</v>
      </c>
      <c r="C8"/>
    </row>
    <row r="9" spans="1:3" ht="12.75">
      <c r="A9" t="s">
        <v>125</v>
      </c>
      <c r="B9" s="47">
        <f>план!B40</f>
        <v>0.7</v>
      </c>
      <c r="C9"/>
    </row>
    <row r="10" spans="1:3" ht="12.75">
      <c r="A10" t="s">
        <v>66</v>
      </c>
      <c r="B10" s="47">
        <f>план!B34</f>
        <v>10</v>
      </c>
      <c r="C10"/>
    </row>
    <row r="11" spans="1:3" ht="12.75">
      <c r="A11" t="s">
        <v>67</v>
      </c>
      <c r="B11" s="47">
        <f>план!B35</f>
        <v>12</v>
      </c>
      <c r="C11"/>
    </row>
    <row r="12" spans="1:3" ht="12.75">
      <c r="A12" t="s">
        <v>70</v>
      </c>
      <c r="B12" s="47">
        <f>B5*B8*B10</f>
        <v>50</v>
      </c>
      <c r="C12"/>
    </row>
    <row r="13" spans="1:3" ht="12.75">
      <c r="A13" t="s">
        <v>71</v>
      </c>
      <c r="B13" s="47">
        <f>B5*B9*B11</f>
        <v>84</v>
      </c>
      <c r="C13"/>
    </row>
    <row r="14" spans="1:3" ht="12.75">
      <c r="A14" t="s">
        <v>68</v>
      </c>
      <c r="B14" s="47">
        <f>B12*B6*B4</f>
        <v>150000</v>
      </c>
      <c r="C14"/>
    </row>
    <row r="15" spans="1:3" ht="12.75">
      <c r="A15" t="s">
        <v>69</v>
      </c>
      <c r="B15" s="47">
        <f>B13*B4*B7</f>
        <v>252000</v>
      </c>
      <c r="C15"/>
    </row>
    <row r="16" spans="1:3" ht="12.75">
      <c r="A16" s="3"/>
      <c r="B16" s="8"/>
      <c r="C16"/>
    </row>
    <row r="17" spans="1:2" s="1" customFormat="1" ht="12.75">
      <c r="A17" s="1" t="s">
        <v>29</v>
      </c>
      <c r="B17" s="23">
        <f>B14+B15</f>
        <v>402000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="85" zoomScaleNormal="85" workbookViewId="0" topLeftCell="A1">
      <pane xSplit="1" ySplit="3" topLeftCell="B4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4" sqref="A4"/>
    </sheetView>
  </sheetViews>
  <sheetFormatPr defaultColWidth="9.00390625" defaultRowHeight="12.75"/>
  <cols>
    <col min="1" max="1" width="34.125" style="0" customWidth="1"/>
    <col min="2" max="3" width="13.00390625" style="6" customWidth="1"/>
    <col min="4" max="4" width="10.75390625" style="6" customWidth="1"/>
  </cols>
  <sheetData>
    <row r="1" ht="12.75">
      <c r="A1" s="1" t="s">
        <v>46</v>
      </c>
    </row>
    <row r="2" spans="1:4" s="26" customFormat="1" ht="12.75">
      <c r="A2" s="26" t="s">
        <v>45</v>
      </c>
      <c r="B2" s="39"/>
      <c r="C2" s="39"/>
      <c r="D2" s="39"/>
    </row>
    <row r="3" spans="1:4" s="1" customFormat="1" ht="15">
      <c r="A3" s="11" t="s">
        <v>30</v>
      </c>
      <c r="B3" s="9" t="s">
        <v>31</v>
      </c>
      <c r="C3" s="9" t="s">
        <v>32</v>
      </c>
      <c r="D3" s="9" t="s">
        <v>33</v>
      </c>
    </row>
    <row r="4" spans="1:4" ht="12.75">
      <c r="A4" t="s">
        <v>34</v>
      </c>
      <c r="B4" s="22">
        <v>0</v>
      </c>
      <c r="C4" s="7">
        <f>B10</f>
        <v>709192</v>
      </c>
      <c r="D4" s="7">
        <f>C10</f>
        <v>2281192</v>
      </c>
    </row>
    <row r="5" spans="1:4" ht="12.75">
      <c r="A5" s="3" t="s">
        <v>50</v>
      </c>
      <c r="B5" s="25">
        <f>SUM(B6:B7)</f>
        <v>-3482000</v>
      </c>
      <c r="C5" s="25">
        <f>SUM(C6:C7)</f>
        <v>-3252000</v>
      </c>
      <c r="D5" s="25">
        <f>SUM(D6:D7)</f>
        <v>-3252000</v>
      </c>
    </row>
    <row r="6" spans="1:4" ht="12.75">
      <c r="A6" s="42" t="str">
        <f>план!A3</f>
        <v>Инвестиционные расходы</v>
      </c>
      <c r="B6" s="7">
        <f>-план!$B$3</f>
        <v>-230000</v>
      </c>
      <c r="C6" s="22"/>
      <c r="D6" s="22"/>
    </row>
    <row r="7" spans="1:4" ht="12.75">
      <c r="A7" s="42" t="str">
        <f>план!A6</f>
        <v>Текущие расходы</v>
      </c>
      <c r="B7" s="7">
        <f>-план!$B$6*12</f>
        <v>-3252000</v>
      </c>
      <c r="C7" s="7">
        <f>-план!$B$6*12</f>
        <v>-3252000</v>
      </c>
      <c r="D7" s="7">
        <f>-план!$B$6*12</f>
        <v>-3252000</v>
      </c>
    </row>
    <row r="8" spans="1:4" ht="12.75">
      <c r="A8" s="43" t="s">
        <v>51</v>
      </c>
      <c r="B8" s="25">
        <f>план!$B$14*12</f>
        <v>4824000</v>
      </c>
      <c r="C8" s="25">
        <f>план!$B$14*12</f>
        <v>4824000</v>
      </c>
      <c r="D8" s="25">
        <f>план!$B$14*12</f>
        <v>4824000</v>
      </c>
    </row>
    <row r="9" spans="1:4" ht="12.75">
      <c r="A9" s="43" t="s">
        <v>93</v>
      </c>
      <c r="B9" s="25">
        <f>-план!$B$15*12</f>
        <v>-632808</v>
      </c>
      <c r="C9" s="25">
        <f>-план!$B$15*12</f>
        <v>-632808</v>
      </c>
      <c r="D9" s="25">
        <f>-план!$B$15*12</f>
        <v>-632808</v>
      </c>
    </row>
    <row r="10" spans="1:4" ht="12.75">
      <c r="A10" t="s">
        <v>35</v>
      </c>
      <c r="B10" s="7">
        <f>B4+B5+B8+B9</f>
        <v>709192</v>
      </c>
      <c r="C10" s="7">
        <f>C4+C5+C8</f>
        <v>2281192</v>
      </c>
      <c r="D10" s="7">
        <f>D4+D5+D8</f>
        <v>3853192</v>
      </c>
    </row>
    <row r="11" spans="2:4" ht="12.75">
      <c r="B11" s="7"/>
      <c r="C11" s="7"/>
      <c r="D11" s="7"/>
    </row>
    <row r="12" spans="3:4" ht="12.75">
      <c r="C12" s="7"/>
      <c r="D12" s="7"/>
    </row>
    <row r="13" spans="1:4" ht="12.75">
      <c r="A13" s="1" t="s">
        <v>47</v>
      </c>
      <c r="B13" s="9" t="s">
        <v>36</v>
      </c>
      <c r="C13" s="7" t="s">
        <v>17</v>
      </c>
      <c r="D13" s="7"/>
    </row>
    <row r="14" spans="1:4" s="15" customFormat="1" ht="12.75">
      <c r="A14" s="12">
        <v>40179</v>
      </c>
      <c r="B14" s="13">
        <f>B6</f>
        <v>-230000</v>
      </c>
      <c r="C14" s="14" t="s">
        <v>37</v>
      </c>
      <c r="D14" s="13"/>
    </row>
    <row r="15" spans="1:4" ht="12.75">
      <c r="A15" s="16">
        <v>40543</v>
      </c>
      <c r="B15" s="7">
        <f>B8+B7</f>
        <v>1572000</v>
      </c>
      <c r="C15" s="17" t="s">
        <v>38</v>
      </c>
      <c r="D15" s="7"/>
    </row>
    <row r="16" spans="1:3" ht="12.75">
      <c r="A16" s="16">
        <v>40908</v>
      </c>
      <c r="B16" s="7">
        <f>C8+C5</f>
        <v>1572000</v>
      </c>
      <c r="C16" s="17" t="s">
        <v>39</v>
      </c>
    </row>
    <row r="17" spans="1:3" ht="12.75">
      <c r="A17" s="16">
        <v>41274</v>
      </c>
      <c r="B17" s="7">
        <f>D8+D5</f>
        <v>1572000</v>
      </c>
      <c r="C17" s="18" t="s">
        <v>40</v>
      </c>
    </row>
    <row r="18" spans="1:3" ht="12.75">
      <c r="A18" s="17" t="s">
        <v>41</v>
      </c>
      <c r="B18" s="24">
        <f>RATE(3,,B14,B19)</f>
        <v>1.7370453091825107</v>
      </c>
      <c r="C18" s="20" t="s">
        <v>42</v>
      </c>
    </row>
    <row r="19" spans="1:3" ht="12.75">
      <c r="A19" t="s">
        <v>43</v>
      </c>
      <c r="B19" s="7">
        <f>B15+B16+B17</f>
        <v>4716000</v>
      </c>
      <c r="C19" s="18" t="s">
        <v>44</v>
      </c>
    </row>
    <row r="20" spans="2:3" ht="12.75">
      <c r="B20" s="7"/>
      <c r="C20" s="19"/>
    </row>
    <row r="21" ht="12.75">
      <c r="B21" s="7"/>
    </row>
    <row r="22" spans="1:4" s="1" customFormat="1" ht="12.75">
      <c r="A22"/>
      <c r="B22" s="6"/>
      <c r="C22" s="9"/>
      <c r="D22" s="9"/>
    </row>
    <row r="23" ht="12.75">
      <c r="C23" s="7"/>
    </row>
    <row r="24" ht="12.75">
      <c r="C24" s="7"/>
    </row>
    <row r="25" ht="12.75">
      <c r="C25" s="21"/>
    </row>
  </sheetData>
  <hyperlinks>
    <hyperlink ref="A6" location="план!A3" display="план!A3"/>
    <hyperlink ref="A7" location="план!A7" display="план!A7"/>
    <hyperlink ref="A8" location="план!B18" display="Выручка, 12 месяцев"/>
    <hyperlink ref="A9" location="план!A19" display="Налоги, 12 месяцев"/>
  </hyperlink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dcterms:created xsi:type="dcterms:W3CDTF">2009-09-25T14:23:53Z</dcterms:created>
  <dcterms:modified xsi:type="dcterms:W3CDTF">2009-10-16T14:00:58Z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